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2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лот2!$A:$G</definedName>
    <definedName name="_xlnm.Print_Area" localSheetId="0">лот2!$A$1:$R$44</definedName>
  </definedNames>
  <calcPr calcId="125725"/>
</workbook>
</file>

<file path=xl/calcChain.xml><?xml version="1.0" encoding="utf-8"?>
<calcChain xmlns="http://schemas.openxmlformats.org/spreadsheetml/2006/main">
  <c r="S34" i="3"/>
  <c r="R33"/>
  <c r="R32"/>
  <c r="R31"/>
  <c r="Q31"/>
  <c r="R30"/>
  <c r="R29"/>
  <c r="R28"/>
  <c r="Q28"/>
  <c r="R27"/>
  <c r="R26"/>
  <c r="R25"/>
  <c r="R24"/>
  <c r="R23"/>
  <c r="R22" s="1"/>
  <c r="Q22"/>
  <c r="R21"/>
  <c r="R20"/>
  <c r="R19"/>
  <c r="R18"/>
  <c r="R17"/>
  <c r="R16"/>
  <c r="R15"/>
  <c r="R14" s="1"/>
  <c r="Q14"/>
  <c r="Q36" s="1"/>
  <c r="Q9"/>
  <c r="R34" l="1"/>
  <c r="R36" s="1"/>
  <c r="P33" l="1"/>
  <c r="P32"/>
  <c r="P31"/>
  <c r="P30"/>
  <c r="P29"/>
  <c r="O29"/>
  <c r="P28"/>
  <c r="O28"/>
  <c r="P27"/>
  <c r="O27"/>
  <c r="P26"/>
  <c r="O26"/>
  <c r="P25"/>
  <c r="P24"/>
  <c r="P23"/>
  <c r="P22" s="1"/>
  <c r="O22"/>
  <c r="P21"/>
  <c r="P20"/>
  <c r="P19"/>
  <c r="P18"/>
  <c r="P17"/>
  <c r="P16"/>
  <c r="P15"/>
  <c r="P14" s="1"/>
  <c r="O14"/>
  <c r="O36" s="1"/>
  <c r="P9"/>
  <c r="O9"/>
  <c r="P34" l="1"/>
  <c r="P36" s="1"/>
  <c r="N33" l="1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N21"/>
  <c r="M21"/>
  <c r="N20"/>
  <c r="M20"/>
  <c r="N19"/>
  <c r="M19"/>
  <c r="N18"/>
  <c r="M18"/>
  <c r="N17"/>
  <c r="M17"/>
  <c r="N16"/>
  <c r="M16"/>
  <c r="N15"/>
  <c r="M15"/>
  <c r="M14" s="1"/>
  <c r="N14"/>
  <c r="N9"/>
  <c r="M9"/>
  <c r="L33"/>
  <c r="K33"/>
  <c r="J33"/>
  <c r="I33"/>
  <c r="L32"/>
  <c r="K32"/>
  <c r="J32"/>
  <c r="I32"/>
  <c r="L31"/>
  <c r="K31"/>
  <c r="J31"/>
  <c r="I31"/>
  <c r="H31"/>
  <c r="L30"/>
  <c r="K30"/>
  <c r="J30"/>
  <c r="I30"/>
  <c r="L29"/>
  <c r="K29"/>
  <c r="J29"/>
  <c r="I29"/>
  <c r="H29"/>
  <c r="L27"/>
  <c r="K27"/>
  <c r="J27"/>
  <c r="I27"/>
  <c r="H27"/>
  <c r="L26"/>
  <c r="K26"/>
  <c r="J26"/>
  <c r="I26"/>
  <c r="H26"/>
  <c r="L25"/>
  <c r="K25"/>
  <c r="J25"/>
  <c r="I25"/>
  <c r="L24"/>
  <c r="K24"/>
  <c r="J24"/>
  <c r="I24"/>
  <c r="L23"/>
  <c r="K23"/>
  <c r="J23"/>
  <c r="J22" s="1"/>
  <c r="I23"/>
  <c r="L22"/>
  <c r="L21"/>
  <c r="K21"/>
  <c r="J21"/>
  <c r="I21"/>
  <c r="L20"/>
  <c r="K20"/>
  <c r="J20"/>
  <c r="I20"/>
  <c r="L19"/>
  <c r="K19"/>
  <c r="J19"/>
  <c r="I19"/>
  <c r="L18"/>
  <c r="K18"/>
  <c r="J18"/>
  <c r="I18"/>
  <c r="L17"/>
  <c r="K17"/>
  <c r="J17"/>
  <c r="I17"/>
  <c r="L16"/>
  <c r="K16"/>
  <c r="J16"/>
  <c r="I16"/>
  <c r="L15"/>
  <c r="K15"/>
  <c r="J15"/>
  <c r="I15"/>
  <c r="L14"/>
  <c r="K14"/>
  <c r="J14"/>
  <c r="I14"/>
  <c r="H14"/>
  <c r="L9"/>
  <c r="K9"/>
  <c r="J9"/>
  <c r="I9"/>
  <c r="H9"/>
  <c r="H22" l="1"/>
  <c r="K28"/>
  <c r="I28"/>
  <c r="H28"/>
  <c r="J28"/>
  <c r="J34" s="1"/>
  <c r="J36" s="1"/>
  <c r="L28"/>
  <c r="L34" s="1"/>
  <c r="L36" s="1"/>
  <c r="M22"/>
  <c r="M34" s="1"/>
  <c r="M36" s="1"/>
  <c r="N34"/>
  <c r="N36" s="1"/>
  <c r="K22"/>
  <c r="K34" s="1"/>
  <c r="K36" s="1"/>
  <c r="I22"/>
  <c r="H36" l="1"/>
  <c r="I34"/>
  <c r="I36" l="1"/>
  <c r="T34"/>
</calcChain>
</file>

<file path=xl/sharedStrings.xml><?xml version="1.0" encoding="utf-8"?>
<sst xmlns="http://schemas.openxmlformats.org/spreadsheetml/2006/main" count="86" uniqueCount="78">
  <si>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</si>
  <si>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</si>
  <si>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</si>
  <si>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</si>
  <si>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</si>
  <si>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</si>
  <si>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</si>
  <si>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</si>
  <si>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</si>
  <si>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</si>
  <si>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</si>
  <si>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</si>
  <si>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</si>
  <si>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</si>
  <si>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</si>
  <si>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</si>
  <si>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</si>
  <si>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</si>
  <si>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</si>
  <si>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</si>
  <si>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</si>
  <si>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</si>
  <si>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</si>
  <si>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</si>
  <si>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</si>
  <si>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</si>
  <si>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</si>
  <si>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</si>
  <si>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</si>
  <si>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</si>
  <si>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</si>
  <si>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</si>
  <si>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</si>
  <si>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</si>
  <si>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</si>
  <si>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</si>
  <si>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</si>
  <si>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</si>
  <si>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</si>
  <si>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</si>
  <si>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</si>
  <si>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</si>
  <si>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</si>
  <si>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</si>
  <si>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</si>
  <si>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</si>
  <si>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</si>
  <si>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</si>
  <si>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</si>
  <si>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</si>
  <si>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</si>
  <si>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Лот №2</t>
  </si>
  <si>
    <t>8</t>
  </si>
  <si>
    <t>6</t>
  </si>
  <si>
    <t>1</t>
  </si>
  <si>
    <t>деревянный благоустроенный дом с центр отоплением</t>
  </si>
  <si>
    <t>Жилой район Октябрьский тер. округ</t>
  </si>
  <si>
    <t>Комсомольская ул.</t>
  </si>
  <si>
    <t>43 к3</t>
  </si>
  <si>
    <t>Наб. Северной Двины ул.</t>
  </si>
  <si>
    <t>118 к.2</t>
  </si>
  <si>
    <t>Теснанова ул.</t>
  </si>
  <si>
    <t>Бадигина прз.</t>
  </si>
  <si>
    <t>12</t>
  </si>
  <si>
    <t>Ломоносова пр.</t>
  </si>
  <si>
    <t>183 к2</t>
  </si>
  <si>
    <t>183 к3</t>
  </si>
  <si>
    <t>575,7</t>
  </si>
  <si>
    <t>437,7</t>
  </si>
  <si>
    <t>486,8</t>
  </si>
  <si>
    <t>588,1</t>
  </si>
  <si>
    <t>354,8</t>
  </si>
  <si>
    <t>548,9</t>
  </si>
  <si>
    <t>МВК     деревянный благоустроенный дом с центр отоплением</t>
  </si>
  <si>
    <t>Самойло</t>
  </si>
  <si>
    <t>1256,5</t>
  </si>
  <si>
    <t>деревянный благоустроенный без центр отопления</t>
  </si>
  <si>
    <t>516,5</t>
  </si>
</sst>
</file>

<file path=xl/styles.xml><?xml version="1.0" encoding="utf-8"?>
<styleSheet xmlns="http://schemas.openxmlformats.org/spreadsheetml/2006/main">
  <fonts count="17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81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5" xfId="0" applyNumberFormat="1" applyFont="1" applyFill="1" applyBorder="1" applyAlignment="1">
      <alignment horizontal="center"/>
    </xf>
    <xf numFmtId="4" fontId="10" fillId="2" borderId="12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6" fillId="0" borderId="0" xfId="0" applyFont="1" applyAlignment="1">
      <alignment horizontal="right"/>
    </xf>
    <xf numFmtId="4" fontId="2" fillId="0" borderId="0" xfId="0" applyNumberFormat="1" applyFont="1" applyAlignment="1"/>
    <xf numFmtId="4" fontId="8" fillId="2" borderId="0" xfId="0" applyNumberFormat="1" applyFont="1" applyFill="1" applyBorder="1" applyAlignment="1">
      <alignment horizontal="center" vertical="center"/>
    </xf>
    <xf numFmtId="49" fontId="13" fillId="2" borderId="15" xfId="0" applyNumberFormat="1" applyFont="1" applyFill="1" applyBorder="1" applyAlignment="1">
      <alignment horizontal="left" wrapText="1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5" fillId="2" borderId="5" xfId="0" applyNumberFormat="1" applyFont="1" applyFill="1" applyBorder="1" applyAlignment="1">
      <alignment horizontal="center" vertical="top"/>
    </xf>
    <xf numFmtId="4" fontId="14" fillId="2" borderId="1" xfId="0" applyNumberFormat="1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center" vertical="top"/>
    </xf>
    <xf numFmtId="4" fontId="14" fillId="2" borderId="1" xfId="0" applyNumberFormat="1" applyFont="1" applyFill="1" applyBorder="1" applyAlignment="1">
      <alignment horizontal="center" vertical="top" wrapText="1"/>
    </xf>
    <xf numFmtId="4" fontId="14" fillId="2" borderId="1" xfId="0" applyNumberFormat="1" applyFont="1" applyFill="1" applyBorder="1" applyAlignment="1">
      <alignment horizontal="center" wrapText="1"/>
    </xf>
    <xf numFmtId="4" fontId="14" fillId="2" borderId="12" xfId="0" applyNumberFormat="1" applyFont="1" applyFill="1" applyBorder="1" applyAlignment="1">
      <alignment horizontal="left" vertical="top"/>
    </xf>
    <xf numFmtId="4" fontId="14" fillId="2" borderId="13" xfId="0" applyNumberFormat="1" applyFont="1" applyFill="1" applyBorder="1" applyAlignment="1">
      <alignment horizontal="left" vertical="top"/>
    </xf>
    <xf numFmtId="4" fontId="15" fillId="2" borderId="5" xfId="0" applyNumberFormat="1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Alignment="1">
      <alignment horizontal="right"/>
    </xf>
    <xf numFmtId="4" fontId="14" fillId="2" borderId="5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Border="1" applyAlignment="1">
      <alignment horizontal="center" vertical="center"/>
    </xf>
    <xf numFmtId="4" fontId="14" fillId="2" borderId="5" xfId="0" applyNumberFormat="1" applyFont="1" applyFill="1" applyBorder="1" applyAlignment="1">
      <alignment horizontal="center"/>
    </xf>
    <xf numFmtId="4" fontId="15" fillId="0" borderId="5" xfId="0" applyNumberFormat="1" applyFont="1" applyFill="1" applyBorder="1" applyAlignment="1">
      <alignment horizontal="center"/>
    </xf>
    <xf numFmtId="4" fontId="15" fillId="0" borderId="1" xfId="0" applyNumberFormat="1" applyFont="1" applyFill="1" applyBorder="1" applyAlignment="1">
      <alignment horizontal="center"/>
    </xf>
    <xf numFmtId="4" fontId="15" fillId="0" borderId="1" xfId="0" applyNumberFormat="1" applyFont="1" applyFill="1" applyBorder="1" applyAlignment="1">
      <alignment horizontal="center" vertical="top"/>
    </xf>
    <xf numFmtId="4" fontId="15" fillId="0" borderId="12" xfId="0" applyNumberFormat="1" applyFont="1" applyFill="1" applyBorder="1" applyAlignment="1">
      <alignment horizontal="center" vertical="top"/>
    </xf>
    <xf numFmtId="4" fontId="15" fillId="0" borderId="5" xfId="0" applyNumberFormat="1" applyFont="1" applyFill="1" applyBorder="1" applyAlignment="1">
      <alignment horizontal="center" vertical="center"/>
    </xf>
    <xf numFmtId="49" fontId="13" fillId="2" borderId="16" xfId="0" applyNumberFormat="1" applyFont="1" applyFill="1" applyBorder="1" applyAlignment="1">
      <alignment horizontal="left" wrapText="1"/>
    </xf>
    <xf numFmtId="4" fontId="14" fillId="2" borderId="16" xfId="0" applyNumberFormat="1" applyFont="1" applyFill="1" applyBorder="1" applyAlignment="1">
      <alignment horizontal="center" vertical="center"/>
    </xf>
    <xf numFmtId="49" fontId="16" fillId="2" borderId="17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4" fontId="15" fillId="2" borderId="12" xfId="0" applyNumberFormat="1" applyFont="1" applyFill="1" applyBorder="1" applyAlignment="1">
      <alignment horizontal="center"/>
    </xf>
    <xf numFmtId="4" fontId="15" fillId="2" borderId="15" xfId="0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left" wrapText="1"/>
    </xf>
    <xf numFmtId="4" fontId="15" fillId="0" borderId="17" xfId="0" applyNumberFormat="1" applyFont="1" applyFill="1" applyBorder="1" applyAlignment="1">
      <alignment horizontal="center" vertical="center"/>
    </xf>
    <xf numFmtId="4" fontId="15" fillId="0" borderId="18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left" vertical="top"/>
    </xf>
    <xf numFmtId="4" fontId="8" fillId="2" borderId="7" xfId="0" applyNumberFormat="1" applyFont="1" applyFill="1" applyBorder="1" applyAlignment="1">
      <alignment horizontal="left" vertical="top"/>
    </xf>
    <xf numFmtId="4" fontId="8" fillId="2" borderId="8" xfId="0" applyNumberFormat="1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left" vertical="top"/>
    </xf>
    <xf numFmtId="4" fontId="8" fillId="2" borderId="3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left" vertical="top" wrapText="1"/>
    </xf>
    <xf numFmtId="4" fontId="8" fillId="2" borderId="9" xfId="0" applyNumberFormat="1" applyFont="1" applyFill="1" applyBorder="1" applyAlignment="1">
      <alignment horizontal="center" vertical="top"/>
    </xf>
    <xf numFmtId="4" fontId="8" fillId="2" borderId="10" xfId="0" applyNumberFormat="1" applyFont="1" applyFill="1" applyBorder="1" applyAlignment="1">
      <alignment horizontal="center" vertical="top"/>
    </xf>
    <xf numFmtId="4" fontId="8" fillId="2" borderId="11" xfId="0" applyNumberFormat="1" applyFont="1" applyFill="1" applyBorder="1" applyAlignment="1">
      <alignment horizontal="center" vertical="top"/>
    </xf>
    <xf numFmtId="4" fontId="8" fillId="2" borderId="9" xfId="0" applyNumberFormat="1" applyFont="1" applyFill="1" applyBorder="1" applyAlignment="1">
      <alignment horizontal="left" vertical="center" wrapText="1"/>
    </xf>
    <xf numFmtId="4" fontId="8" fillId="2" borderId="10" xfId="0" applyNumberFormat="1" applyFont="1" applyFill="1" applyBorder="1" applyAlignment="1">
      <alignment horizontal="left" vertical="center" wrapText="1"/>
    </xf>
    <xf numFmtId="4" fontId="8" fillId="2" borderId="11" xfId="0" applyNumberFormat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center" vertical="top"/>
    </xf>
    <xf numFmtId="4" fontId="8" fillId="2" borderId="2" xfId="0" applyNumberFormat="1" applyFont="1" applyFill="1" applyBorder="1" applyAlignment="1">
      <alignment horizontal="center" vertical="top"/>
    </xf>
    <xf numFmtId="4" fontId="8" fillId="2" borderId="4" xfId="0" applyNumberFormat="1" applyFont="1" applyFill="1" applyBorder="1" applyAlignment="1">
      <alignment horizontal="center" vertical="top"/>
    </xf>
    <xf numFmtId="4" fontId="8" fillId="2" borderId="13" xfId="0" applyNumberFormat="1" applyFont="1" applyFill="1" applyBorder="1" applyAlignment="1">
      <alignment horizontal="left" vertical="top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14" fillId="2" borderId="16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4" fontId="8" fillId="2" borderId="14" xfId="0" applyNumberFormat="1" applyFont="1" applyFill="1" applyBorder="1" applyAlignment="1">
      <alignment horizontal="center" vertical="center"/>
    </xf>
    <xf numFmtId="4" fontId="15" fillId="2" borderId="14" xfId="0" applyNumberFormat="1" applyFont="1" applyFill="1" applyBorder="1" applyAlignment="1">
      <alignment horizontal="center" vertical="center" wrapText="1"/>
    </xf>
    <xf numFmtId="4" fontId="15" fillId="2" borderId="15" xfId="0" applyNumberFormat="1" applyFont="1" applyFill="1" applyBorder="1" applyAlignment="1">
      <alignment horizontal="center" vertical="center" wrapText="1"/>
    </xf>
    <xf numFmtId="4" fontId="8" fillId="2" borderId="20" xfId="0" applyNumberFormat="1" applyFont="1" applyFill="1" applyBorder="1" applyAlignment="1">
      <alignment horizontal="center" vertical="center"/>
    </xf>
    <xf numFmtId="4" fontId="8" fillId="2" borderId="21" xfId="0" applyNumberFormat="1" applyFont="1" applyFill="1" applyBorder="1" applyAlignment="1">
      <alignment horizontal="center" vertical="center"/>
    </xf>
    <xf numFmtId="4" fontId="15" fillId="2" borderId="22" xfId="0" applyNumberFormat="1" applyFont="1" applyFill="1" applyBorder="1" applyAlignment="1">
      <alignment horizontal="center" vertical="center" wrapText="1"/>
    </xf>
    <xf numFmtId="4" fontId="15" fillId="2" borderId="18" xfId="0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46"/>
  <sheetViews>
    <sheetView tabSelected="1" view="pageBreakPreview" zoomScale="91" zoomScaleNormal="100" zoomScaleSheetLayoutView="91" workbookViewId="0">
      <selection activeCell="S35" sqref="S35"/>
    </sheetView>
  </sheetViews>
  <sheetFormatPr defaultRowHeight="12.75"/>
  <cols>
    <col min="1" max="1" width="9.140625" style="6" customWidth="1"/>
    <col min="2" max="5" width="9.140625" style="6"/>
    <col min="6" max="6" width="20.7109375" style="6" customWidth="1"/>
    <col min="7" max="7" width="17.28515625" style="22" customWidth="1"/>
    <col min="8" max="8" width="11.5703125" style="7" customWidth="1"/>
    <col min="9" max="14" width="9.28515625" style="7" customWidth="1"/>
    <col min="15" max="15" width="14.5703125" style="32" customWidth="1"/>
    <col min="16" max="16" width="9.28515625" style="7" customWidth="1"/>
    <col min="17" max="17" width="13.5703125" style="7" customWidth="1"/>
    <col min="18" max="18" width="14.42578125" style="7" customWidth="1"/>
    <col min="19" max="19" width="13.5703125" customWidth="1"/>
  </cols>
  <sheetData>
    <row r="1" spans="1:29" s="1" customFormat="1" ht="16.5" customHeight="1">
      <c r="A1" s="73" t="s">
        <v>25</v>
      </c>
      <c r="B1" s="73"/>
      <c r="C1" s="73"/>
      <c r="D1" s="73"/>
      <c r="E1" s="73"/>
      <c r="F1" s="73"/>
      <c r="G1" s="73"/>
      <c r="H1" s="16"/>
      <c r="I1" s="16"/>
      <c r="J1" s="16"/>
      <c r="K1" s="16"/>
      <c r="L1" s="16"/>
      <c r="M1" s="16"/>
      <c r="N1" s="16"/>
      <c r="O1" s="45"/>
      <c r="P1" s="16"/>
      <c r="Q1" s="16"/>
      <c r="R1" s="16"/>
    </row>
    <row r="2" spans="1:29" s="1" customFormat="1" ht="16.5" customHeight="1">
      <c r="A2" s="73" t="s">
        <v>24</v>
      </c>
      <c r="B2" s="73"/>
      <c r="C2" s="73"/>
      <c r="D2" s="73"/>
      <c r="E2" s="73"/>
      <c r="F2" s="73"/>
      <c r="G2" s="73"/>
      <c r="H2" s="4"/>
      <c r="I2" s="4"/>
      <c r="J2" s="4"/>
      <c r="K2" s="4"/>
      <c r="L2" s="4"/>
      <c r="M2" s="4"/>
      <c r="N2" s="4"/>
      <c r="O2" s="3"/>
      <c r="P2" s="4"/>
      <c r="Q2" s="4"/>
      <c r="R2" s="4"/>
    </row>
    <row r="3" spans="1:29" s="1" customFormat="1" ht="16.5" customHeight="1">
      <c r="A3" s="73" t="s">
        <v>23</v>
      </c>
      <c r="B3" s="73"/>
      <c r="C3" s="73"/>
      <c r="D3" s="73"/>
      <c r="E3" s="73"/>
      <c r="F3" s="73"/>
      <c r="G3" s="73"/>
      <c r="H3" s="4"/>
      <c r="I3" s="4"/>
      <c r="J3" s="4"/>
      <c r="K3" s="4"/>
      <c r="L3" s="4"/>
      <c r="M3" s="4"/>
      <c r="N3" s="4"/>
      <c r="O3" s="3"/>
      <c r="P3" s="4"/>
      <c r="Q3" s="4"/>
      <c r="R3" s="4"/>
    </row>
    <row r="4" spans="1:29" s="1" customFormat="1" ht="16.5" customHeight="1">
      <c r="A4" s="73" t="s">
        <v>22</v>
      </c>
      <c r="B4" s="73"/>
      <c r="C4" s="73"/>
      <c r="D4" s="73"/>
      <c r="E4" s="73"/>
      <c r="F4" s="73"/>
      <c r="G4" s="73"/>
      <c r="H4" s="7"/>
      <c r="I4" s="7"/>
      <c r="J4" s="7"/>
      <c r="K4" s="7"/>
      <c r="L4" s="7"/>
      <c r="M4" s="7"/>
      <c r="N4" s="7"/>
      <c r="O4" s="32"/>
      <c r="P4" s="7"/>
      <c r="Q4" s="7"/>
      <c r="R4" s="7"/>
    </row>
    <row r="5" spans="1:29" s="1" customFormat="1">
      <c r="A5" s="5" t="s">
        <v>51</v>
      </c>
      <c r="B5" s="5" t="s">
        <v>56</v>
      </c>
      <c r="C5" s="6"/>
      <c r="D5" s="6"/>
      <c r="E5" s="6"/>
      <c r="F5" s="6"/>
      <c r="G5" s="22"/>
      <c r="H5" s="7"/>
      <c r="I5" s="7"/>
      <c r="J5" s="7"/>
      <c r="K5" s="7"/>
      <c r="L5" s="7"/>
      <c r="M5" s="7"/>
      <c r="N5" s="7"/>
      <c r="O5" s="32"/>
      <c r="P5" s="7"/>
      <c r="Q5" s="7"/>
      <c r="R5" s="7"/>
    </row>
    <row r="6" spans="1:29" s="1" customFormat="1" ht="15.75" customHeight="1">
      <c r="A6" s="74" t="s">
        <v>21</v>
      </c>
      <c r="B6" s="74"/>
      <c r="C6" s="74"/>
      <c r="D6" s="74"/>
      <c r="E6" s="74"/>
      <c r="F6" s="74"/>
      <c r="G6" s="77" t="s">
        <v>20</v>
      </c>
      <c r="H6" s="78"/>
      <c r="I6" s="78"/>
      <c r="J6" s="78"/>
      <c r="K6" s="78"/>
      <c r="L6" s="78"/>
      <c r="M6" s="78"/>
      <c r="N6" s="78"/>
      <c r="O6" s="31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s="8" customFormat="1" ht="56.25" customHeight="1">
      <c r="A7" s="74"/>
      <c r="B7" s="74"/>
      <c r="C7" s="74"/>
      <c r="D7" s="74"/>
      <c r="E7" s="74"/>
      <c r="F7" s="74"/>
      <c r="G7" s="75" t="s">
        <v>19</v>
      </c>
      <c r="H7" s="72" t="s">
        <v>55</v>
      </c>
      <c r="I7" s="19" t="s">
        <v>57</v>
      </c>
      <c r="J7" s="41" t="s">
        <v>59</v>
      </c>
      <c r="K7" s="41" t="s">
        <v>61</v>
      </c>
      <c r="L7" s="41" t="s">
        <v>62</v>
      </c>
      <c r="M7" s="19" t="s">
        <v>64</v>
      </c>
      <c r="N7" s="19" t="s">
        <v>64</v>
      </c>
      <c r="O7" s="76" t="s">
        <v>73</v>
      </c>
      <c r="P7" s="41" t="s">
        <v>74</v>
      </c>
      <c r="Q7" s="79" t="s">
        <v>76</v>
      </c>
      <c r="R7" s="41" t="s">
        <v>62</v>
      </c>
    </row>
    <row r="8" spans="1:29" s="8" customFormat="1" ht="22.5" customHeight="1">
      <c r="A8" s="74"/>
      <c r="B8" s="74"/>
      <c r="C8" s="74"/>
      <c r="D8" s="74"/>
      <c r="E8" s="74"/>
      <c r="F8" s="74"/>
      <c r="G8" s="75"/>
      <c r="H8" s="72"/>
      <c r="I8" s="41" t="s">
        <v>58</v>
      </c>
      <c r="J8" s="41" t="s">
        <v>60</v>
      </c>
      <c r="K8" s="41" t="s">
        <v>53</v>
      </c>
      <c r="L8" s="41" t="s">
        <v>63</v>
      </c>
      <c r="M8" s="41" t="s">
        <v>65</v>
      </c>
      <c r="N8" s="41" t="s">
        <v>66</v>
      </c>
      <c r="O8" s="76"/>
      <c r="P8" s="41" t="s">
        <v>54</v>
      </c>
      <c r="Q8" s="80"/>
      <c r="R8" s="48" t="s">
        <v>52</v>
      </c>
    </row>
    <row r="9" spans="1:29" s="1" customFormat="1">
      <c r="A9" s="59" t="s">
        <v>18</v>
      </c>
      <c r="B9" s="60"/>
      <c r="C9" s="60"/>
      <c r="D9" s="60"/>
      <c r="E9" s="60"/>
      <c r="F9" s="61"/>
      <c r="G9" s="23"/>
      <c r="H9" s="35">
        <f t="shared" ref="H9" si="0">SUM(H10:H13)</f>
        <v>0</v>
      </c>
      <c r="I9" s="12">
        <f t="shared" ref="I9:L9" si="1">SUM(I10:I13)</f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ref="M9:N9" si="2">SUM(M10:M13)</f>
        <v>0</v>
      </c>
      <c r="N9" s="12">
        <f t="shared" si="2"/>
        <v>0</v>
      </c>
      <c r="O9" s="36">
        <f t="shared" ref="O9:P9" si="3">SUM(O10:O13)</f>
        <v>0</v>
      </c>
      <c r="P9" s="12">
        <f t="shared" si="3"/>
        <v>0</v>
      </c>
      <c r="Q9" s="36">
        <f t="shared" ref="Q9" si="4">SUM(Q10:Q13)</f>
        <v>0</v>
      </c>
      <c r="R9" s="12">
        <v>0</v>
      </c>
    </row>
    <row r="10" spans="1:29" s="1" customFormat="1">
      <c r="A10" s="54" t="s">
        <v>26</v>
      </c>
      <c r="B10" s="54"/>
      <c r="C10" s="54"/>
      <c r="D10" s="54"/>
      <c r="E10" s="54"/>
      <c r="F10" s="54"/>
      <c r="G10" s="24" t="s">
        <v>11</v>
      </c>
      <c r="H10" s="24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37">
        <v>0</v>
      </c>
      <c r="P10" s="10">
        <v>0</v>
      </c>
      <c r="Q10" s="37">
        <v>0</v>
      </c>
      <c r="R10" s="10">
        <v>0</v>
      </c>
    </row>
    <row r="11" spans="1:29" s="1" customFormat="1">
      <c r="A11" s="54" t="s">
        <v>27</v>
      </c>
      <c r="B11" s="54"/>
      <c r="C11" s="54"/>
      <c r="D11" s="54"/>
      <c r="E11" s="54"/>
      <c r="F11" s="54"/>
      <c r="G11" s="24" t="s">
        <v>11</v>
      </c>
      <c r="H11" s="24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37">
        <v>0</v>
      </c>
      <c r="P11" s="10">
        <v>0</v>
      </c>
      <c r="Q11" s="37">
        <v>0</v>
      </c>
      <c r="R11" s="10">
        <v>0</v>
      </c>
    </row>
    <row r="12" spans="1:29" s="1" customFormat="1">
      <c r="A12" s="54" t="s">
        <v>17</v>
      </c>
      <c r="B12" s="54"/>
      <c r="C12" s="54"/>
      <c r="D12" s="54"/>
      <c r="E12" s="54"/>
      <c r="F12" s="54"/>
      <c r="G12" s="24" t="s">
        <v>11</v>
      </c>
      <c r="H12" s="24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37">
        <v>0</v>
      </c>
      <c r="P12" s="10">
        <v>0</v>
      </c>
      <c r="Q12" s="37">
        <v>0</v>
      </c>
      <c r="R12" s="10">
        <v>0</v>
      </c>
    </row>
    <row r="13" spans="1:29" s="1" customFormat="1">
      <c r="A13" s="54" t="s">
        <v>16</v>
      </c>
      <c r="B13" s="54"/>
      <c r="C13" s="54"/>
      <c r="D13" s="54"/>
      <c r="E13" s="54"/>
      <c r="F13" s="54"/>
      <c r="G13" s="24" t="s">
        <v>15</v>
      </c>
      <c r="H13" s="24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37">
        <v>0</v>
      </c>
      <c r="P13" s="10">
        <v>0</v>
      </c>
      <c r="Q13" s="37">
        <v>0</v>
      </c>
      <c r="R13" s="10">
        <v>0</v>
      </c>
    </row>
    <row r="14" spans="1:29" s="1" customFormat="1" ht="23.85" customHeight="1">
      <c r="A14" s="55" t="s">
        <v>14</v>
      </c>
      <c r="B14" s="56"/>
      <c r="C14" s="56"/>
      <c r="D14" s="56"/>
      <c r="E14" s="56"/>
      <c r="F14" s="57"/>
      <c r="G14" s="25"/>
      <c r="H14" s="24">
        <f t="shared" ref="H14:L14" si="5">SUM(H15:H21)</f>
        <v>4.6500000000000004</v>
      </c>
      <c r="I14" s="9">
        <f t="shared" si="5"/>
        <v>32124.060000000005</v>
      </c>
      <c r="J14" s="9">
        <f t="shared" si="5"/>
        <v>24423.660000000003</v>
      </c>
      <c r="K14" s="9">
        <f t="shared" si="5"/>
        <v>27163.440000000002</v>
      </c>
      <c r="L14" s="9">
        <f t="shared" si="5"/>
        <v>32815.980000000003</v>
      </c>
      <c r="M14" s="9">
        <f t="shared" ref="M14:N14" si="6">SUM(M15:M21)</f>
        <v>19797.84</v>
      </c>
      <c r="N14" s="9">
        <f t="shared" si="6"/>
        <v>30628.620000000003</v>
      </c>
      <c r="O14" s="37">
        <f t="shared" ref="O14:P14" si="7">SUM(O15:O21)</f>
        <v>4.6500000000000004</v>
      </c>
      <c r="P14" s="9">
        <f t="shared" si="7"/>
        <v>70112.700000000012</v>
      </c>
      <c r="Q14" s="37">
        <f t="shared" ref="Q14:R14" si="8">SUM(Q15:Q21)</f>
        <v>8.17</v>
      </c>
      <c r="R14" s="9">
        <f t="shared" si="8"/>
        <v>50637.66</v>
      </c>
    </row>
    <row r="15" spans="1:29" s="1" customFormat="1">
      <c r="A15" s="54" t="s">
        <v>40</v>
      </c>
      <c r="B15" s="54"/>
      <c r="C15" s="54"/>
      <c r="D15" s="54"/>
      <c r="E15" s="54"/>
      <c r="F15" s="54"/>
      <c r="G15" s="24" t="s">
        <v>41</v>
      </c>
      <c r="H15" s="24">
        <v>1.08</v>
      </c>
      <c r="I15" s="10">
        <f>1.08*12*I35</f>
        <v>7461.072000000001</v>
      </c>
      <c r="J15" s="10">
        <f t="shared" ref="J15:L15" si="9">1.08*12*J35</f>
        <v>5672.5920000000006</v>
      </c>
      <c r="K15" s="10">
        <f t="shared" si="9"/>
        <v>6308.9280000000008</v>
      </c>
      <c r="L15" s="10">
        <f t="shared" si="9"/>
        <v>7621.7760000000007</v>
      </c>
      <c r="M15" s="10">
        <f>1.08*12*M35</f>
        <v>4598.2080000000005</v>
      </c>
      <c r="N15" s="10">
        <f t="shared" ref="N15" si="10">1.08*12*N35</f>
        <v>7113.7440000000006</v>
      </c>
      <c r="O15" s="37">
        <v>1.08</v>
      </c>
      <c r="P15" s="10">
        <f t="shared" ref="P15" si="11">1.08*12*P35</f>
        <v>16284.240000000002</v>
      </c>
      <c r="Q15" s="37">
        <v>0.68</v>
      </c>
      <c r="R15" s="10">
        <f t="shared" ref="R15" si="12">0.68*12*R35</f>
        <v>4214.6400000000003</v>
      </c>
    </row>
    <row r="16" spans="1:29" s="1" customFormat="1">
      <c r="A16" s="54" t="s">
        <v>31</v>
      </c>
      <c r="B16" s="54"/>
      <c r="C16" s="54"/>
      <c r="D16" s="54"/>
      <c r="E16" s="54"/>
      <c r="F16" s="54"/>
      <c r="G16" s="24" t="s">
        <v>13</v>
      </c>
      <c r="H16" s="24">
        <v>0.41</v>
      </c>
      <c r="I16" s="10">
        <f>0.41*12*I35</f>
        <v>2832.444</v>
      </c>
      <c r="J16" s="10">
        <f t="shared" ref="J16:L16" si="13">0.41*12*J35</f>
        <v>2153.4839999999999</v>
      </c>
      <c r="K16" s="10">
        <f t="shared" si="13"/>
        <v>2395.056</v>
      </c>
      <c r="L16" s="10">
        <f t="shared" si="13"/>
        <v>2893.4520000000002</v>
      </c>
      <c r="M16" s="10">
        <f>0.41*12*M35</f>
        <v>1745.616</v>
      </c>
      <c r="N16" s="10">
        <f t="shared" ref="N16" si="14">0.41*12*N35</f>
        <v>2700.5879999999997</v>
      </c>
      <c r="O16" s="37">
        <v>0.41</v>
      </c>
      <c r="P16" s="10">
        <f t="shared" ref="P16" si="15">0.41*12*P35</f>
        <v>6181.98</v>
      </c>
      <c r="Q16" s="37">
        <v>0.89</v>
      </c>
      <c r="R16" s="10">
        <f t="shared" ref="R16" si="16">0.89*12*R35</f>
        <v>5516.22</v>
      </c>
    </row>
    <row r="17" spans="1:18" s="1" customFormat="1">
      <c r="A17" s="54" t="s">
        <v>32</v>
      </c>
      <c r="B17" s="54"/>
      <c r="C17" s="54"/>
      <c r="D17" s="54"/>
      <c r="E17" s="54"/>
      <c r="F17" s="54"/>
      <c r="G17" s="24" t="s">
        <v>42</v>
      </c>
      <c r="H17" s="24">
        <v>0.32</v>
      </c>
      <c r="I17" s="10">
        <f>0.32*12*I35</f>
        <v>2210.6880000000001</v>
      </c>
      <c r="J17" s="10">
        <f t="shared" ref="J17:L17" si="17">0.32*12*J35</f>
        <v>1680.7679999999998</v>
      </c>
      <c r="K17" s="10">
        <f t="shared" si="17"/>
        <v>1869.3119999999999</v>
      </c>
      <c r="L17" s="10">
        <f t="shared" si="17"/>
        <v>2258.3040000000001</v>
      </c>
      <c r="M17" s="10">
        <f>0.32*12*M35</f>
        <v>1362.432</v>
      </c>
      <c r="N17" s="10">
        <f t="shared" ref="N17" si="18">0.32*12*N35</f>
        <v>2107.7759999999998</v>
      </c>
      <c r="O17" s="37">
        <v>0.32</v>
      </c>
      <c r="P17" s="10">
        <f t="shared" ref="P17" si="19">0.32*12*P35</f>
        <v>4824.96</v>
      </c>
      <c r="Q17" s="37">
        <v>0.28000000000000003</v>
      </c>
      <c r="R17" s="10">
        <f t="shared" ref="R17" si="20">0.28*12*R35</f>
        <v>1735.44</v>
      </c>
    </row>
    <row r="18" spans="1:18" s="1" customFormat="1" ht="57.75" customHeight="1">
      <c r="A18" s="69" t="s">
        <v>33</v>
      </c>
      <c r="B18" s="70"/>
      <c r="C18" s="70"/>
      <c r="D18" s="70"/>
      <c r="E18" s="70"/>
      <c r="F18" s="71"/>
      <c r="G18" s="26" t="s">
        <v>12</v>
      </c>
      <c r="H18" s="24">
        <v>0.17</v>
      </c>
      <c r="I18" s="10">
        <f>0.17*12*I35</f>
        <v>1174.4280000000001</v>
      </c>
      <c r="J18" s="10">
        <f t="shared" ref="J18:L18" si="21">0.17*12*J35</f>
        <v>892.90800000000002</v>
      </c>
      <c r="K18" s="10">
        <f t="shared" si="21"/>
        <v>993.072</v>
      </c>
      <c r="L18" s="10">
        <f t="shared" si="21"/>
        <v>1199.7240000000002</v>
      </c>
      <c r="M18" s="10">
        <f>0.17*12*M35</f>
        <v>723.79200000000003</v>
      </c>
      <c r="N18" s="10">
        <f t="shared" ref="N18" si="22">0.17*12*N35</f>
        <v>1119.7560000000001</v>
      </c>
      <c r="O18" s="37">
        <v>0.17</v>
      </c>
      <c r="P18" s="10">
        <f t="shared" ref="P18" si="23">0.17*12*P35</f>
        <v>2563.2600000000002</v>
      </c>
      <c r="Q18" s="37">
        <v>0.15</v>
      </c>
      <c r="R18" s="10">
        <f t="shared" ref="R18" si="24">0.15*12*R35</f>
        <v>929.69999999999993</v>
      </c>
    </row>
    <row r="19" spans="1:18" s="1" customFormat="1" ht="23.25" customHeight="1">
      <c r="A19" s="58" t="s">
        <v>34</v>
      </c>
      <c r="B19" s="54"/>
      <c r="C19" s="54"/>
      <c r="D19" s="54"/>
      <c r="E19" s="54"/>
      <c r="F19" s="54"/>
      <c r="G19" s="24" t="s">
        <v>43</v>
      </c>
      <c r="H19" s="24">
        <v>0.05</v>
      </c>
      <c r="I19" s="10">
        <f>0.05*12*I35</f>
        <v>345.42000000000007</v>
      </c>
      <c r="J19" s="10">
        <f t="shared" ref="J19:L19" si="25">0.05*12*J35</f>
        <v>262.62</v>
      </c>
      <c r="K19" s="10">
        <f t="shared" si="25"/>
        <v>292.08000000000004</v>
      </c>
      <c r="L19" s="10">
        <f t="shared" si="25"/>
        <v>352.86000000000007</v>
      </c>
      <c r="M19" s="10">
        <f>0.05*12*M35</f>
        <v>212.88000000000005</v>
      </c>
      <c r="N19" s="10">
        <f t="shared" ref="N19" si="26">0.05*12*N35</f>
        <v>329.34000000000003</v>
      </c>
      <c r="O19" s="37">
        <v>0.05</v>
      </c>
      <c r="P19" s="10">
        <f t="shared" ref="P19" si="27">0.05*12*P35</f>
        <v>753.90000000000009</v>
      </c>
      <c r="Q19" s="37">
        <v>0.05</v>
      </c>
      <c r="R19" s="10">
        <f t="shared" ref="R19" si="28">0.05*12*R35</f>
        <v>309.90000000000003</v>
      </c>
    </row>
    <row r="20" spans="1:18" s="1" customFormat="1" ht="32.25">
      <c r="A20" s="54" t="s">
        <v>35</v>
      </c>
      <c r="B20" s="54"/>
      <c r="C20" s="54"/>
      <c r="D20" s="54"/>
      <c r="E20" s="54"/>
      <c r="F20" s="54"/>
      <c r="G20" s="27" t="s">
        <v>47</v>
      </c>
      <c r="H20" s="24">
        <v>2.62</v>
      </c>
      <c r="I20" s="10">
        <f>2.62*12*I35</f>
        <v>18100.008000000002</v>
      </c>
      <c r="J20" s="10">
        <f t="shared" ref="J20:L20" si="29">2.62*12*J35</f>
        <v>13761.288</v>
      </c>
      <c r="K20" s="10">
        <f t="shared" si="29"/>
        <v>15304.992</v>
      </c>
      <c r="L20" s="10">
        <f t="shared" si="29"/>
        <v>18489.864000000001</v>
      </c>
      <c r="M20" s="10">
        <f>2.62*12*M35</f>
        <v>11154.912</v>
      </c>
      <c r="N20" s="10">
        <f t="shared" ref="N20" si="30">2.62*12*N35</f>
        <v>17257.416000000001</v>
      </c>
      <c r="O20" s="37">
        <v>2.62</v>
      </c>
      <c r="P20" s="10">
        <f t="shared" ref="P20" si="31">2.62*12*P35</f>
        <v>39504.36</v>
      </c>
      <c r="Q20" s="37">
        <v>6.12</v>
      </c>
      <c r="R20" s="10">
        <f t="shared" ref="R20" si="32">6.12*12*R35</f>
        <v>37931.760000000002</v>
      </c>
    </row>
    <row r="21" spans="1:18" s="1" customFormat="1">
      <c r="A21" s="54" t="s">
        <v>36</v>
      </c>
      <c r="B21" s="54"/>
      <c r="C21" s="54"/>
      <c r="D21" s="54"/>
      <c r="E21" s="54"/>
      <c r="F21" s="54"/>
      <c r="G21" s="24" t="s">
        <v>4</v>
      </c>
      <c r="H21" s="24">
        <v>0</v>
      </c>
      <c r="I21" s="10">
        <f>0*12*I35</f>
        <v>0</v>
      </c>
      <c r="J21" s="10">
        <f t="shared" ref="J21:L21" si="33">0*12*J35</f>
        <v>0</v>
      </c>
      <c r="K21" s="10">
        <f t="shared" si="33"/>
        <v>0</v>
      </c>
      <c r="L21" s="10">
        <f t="shared" si="33"/>
        <v>0</v>
      </c>
      <c r="M21" s="10">
        <f>0*12*M35</f>
        <v>0</v>
      </c>
      <c r="N21" s="10">
        <f t="shared" ref="N21" si="34">0*12*N35</f>
        <v>0</v>
      </c>
      <c r="O21" s="37">
        <v>0</v>
      </c>
      <c r="P21" s="10">
        <f t="shared" ref="P21" si="35">0*12*P35</f>
        <v>0</v>
      </c>
      <c r="Q21" s="37">
        <v>0</v>
      </c>
      <c r="R21" s="10">
        <f t="shared" ref="R21" si="36">0*12*R35</f>
        <v>0</v>
      </c>
    </row>
    <row r="22" spans="1:18" s="1" customFormat="1" ht="13.5" customHeight="1">
      <c r="A22" s="55" t="s">
        <v>10</v>
      </c>
      <c r="B22" s="56"/>
      <c r="C22" s="56"/>
      <c r="D22" s="56"/>
      <c r="E22" s="56"/>
      <c r="F22" s="57"/>
      <c r="G22" s="25"/>
      <c r="H22" s="25">
        <f t="shared" ref="H22:L22" si="37">SUM(H23:H27)</f>
        <v>1.94</v>
      </c>
      <c r="I22" s="11">
        <f t="shared" si="37"/>
        <v>13402.296000000002</v>
      </c>
      <c r="J22" s="11">
        <f t="shared" si="37"/>
        <v>10189.655999999999</v>
      </c>
      <c r="K22" s="11">
        <f t="shared" si="37"/>
        <v>11332.704</v>
      </c>
      <c r="L22" s="11">
        <f t="shared" si="37"/>
        <v>13690.968000000001</v>
      </c>
      <c r="M22" s="11">
        <f t="shared" ref="M22:R22" si="38">SUM(M23:M27)</f>
        <v>8259.7440000000006</v>
      </c>
      <c r="N22" s="11">
        <f t="shared" si="38"/>
        <v>12778.392</v>
      </c>
      <c r="O22" s="38">
        <f t="shared" si="38"/>
        <v>1.94</v>
      </c>
      <c r="P22" s="11">
        <f t="shared" si="38"/>
        <v>29251.32</v>
      </c>
      <c r="Q22" s="38">
        <f t="shared" si="38"/>
        <v>4.25</v>
      </c>
      <c r="R22" s="11">
        <f t="shared" si="38"/>
        <v>26341.500000000004</v>
      </c>
    </row>
    <row r="23" spans="1:18" s="1" customFormat="1">
      <c r="A23" s="58" t="s">
        <v>38</v>
      </c>
      <c r="B23" s="54"/>
      <c r="C23" s="54"/>
      <c r="D23" s="54"/>
      <c r="E23" s="54"/>
      <c r="F23" s="54"/>
      <c r="G23" s="24" t="s">
        <v>4</v>
      </c>
      <c r="H23" s="24">
        <v>1.02</v>
      </c>
      <c r="I23" s="10">
        <f>1.02*12*I35</f>
        <v>7046.5680000000011</v>
      </c>
      <c r="J23" s="10">
        <f t="shared" ref="J23:L23" si="39">1.02*12*J35</f>
        <v>5357.4480000000003</v>
      </c>
      <c r="K23" s="10">
        <f t="shared" si="39"/>
        <v>5958.4319999999998</v>
      </c>
      <c r="L23" s="10">
        <f t="shared" si="39"/>
        <v>7198.3440000000001</v>
      </c>
      <c r="M23" s="10">
        <f>1.02*12*M35</f>
        <v>4342.7520000000004</v>
      </c>
      <c r="N23" s="10">
        <f t="shared" ref="N23" si="40">1.02*12*N35</f>
        <v>6718.5360000000001</v>
      </c>
      <c r="O23" s="37">
        <v>1.02</v>
      </c>
      <c r="P23" s="10">
        <f t="shared" ref="P23" si="41">1.02*12*P35</f>
        <v>15379.56</v>
      </c>
      <c r="Q23" s="37">
        <v>0.51</v>
      </c>
      <c r="R23" s="10">
        <f t="shared" ref="R23" si="42">0.51*12*R35</f>
        <v>3160.98</v>
      </c>
    </row>
    <row r="24" spans="1:18" s="1" customFormat="1" ht="25.5" customHeight="1">
      <c r="A24" s="58" t="s">
        <v>28</v>
      </c>
      <c r="B24" s="54"/>
      <c r="C24" s="54"/>
      <c r="D24" s="54"/>
      <c r="E24" s="54"/>
      <c r="F24" s="54"/>
      <c r="G24" s="24" t="s">
        <v>3</v>
      </c>
      <c r="H24" s="24">
        <v>0</v>
      </c>
      <c r="I24" s="10">
        <f>0*1242*I35</f>
        <v>0</v>
      </c>
      <c r="J24" s="10">
        <f t="shared" ref="J24:L24" si="43">0*1242*J35</f>
        <v>0</v>
      </c>
      <c r="K24" s="10">
        <f t="shared" si="43"/>
        <v>0</v>
      </c>
      <c r="L24" s="10">
        <f t="shared" si="43"/>
        <v>0</v>
      </c>
      <c r="M24" s="10">
        <f>0*1242*M35</f>
        <v>0</v>
      </c>
      <c r="N24" s="10">
        <f t="shared" ref="N24" si="44">0*1242*N35</f>
        <v>0</v>
      </c>
      <c r="O24" s="37">
        <v>0</v>
      </c>
      <c r="P24" s="10">
        <f t="shared" ref="P24" si="45">0*1242*P35</f>
        <v>0</v>
      </c>
      <c r="Q24" s="37">
        <v>0</v>
      </c>
      <c r="R24" s="10">
        <f t="shared" ref="R24" si="46">0*12*R35</f>
        <v>0</v>
      </c>
    </row>
    <row r="25" spans="1:18" s="1" customFormat="1" ht="25.5" customHeight="1">
      <c r="A25" s="58" t="s">
        <v>29</v>
      </c>
      <c r="B25" s="58"/>
      <c r="C25" s="58"/>
      <c r="D25" s="58"/>
      <c r="E25" s="58"/>
      <c r="F25" s="58"/>
      <c r="G25" s="24" t="s">
        <v>8</v>
      </c>
      <c r="H25" s="24">
        <v>0</v>
      </c>
      <c r="I25" s="10">
        <f>0*12*I35</f>
        <v>0</v>
      </c>
      <c r="J25" s="10">
        <f t="shared" ref="J25:L25" si="47">0*12*J35</f>
        <v>0</v>
      </c>
      <c r="K25" s="10">
        <f t="shared" si="47"/>
        <v>0</v>
      </c>
      <c r="L25" s="10">
        <f t="shared" si="47"/>
        <v>0</v>
      </c>
      <c r="M25" s="10">
        <f>0*12*M35</f>
        <v>0</v>
      </c>
      <c r="N25" s="10">
        <f t="shared" ref="N25" si="48">0*12*N35</f>
        <v>0</v>
      </c>
      <c r="O25" s="37">
        <v>0</v>
      </c>
      <c r="P25" s="10">
        <f t="shared" ref="P25" si="49">0*12*P35</f>
        <v>0</v>
      </c>
      <c r="Q25" s="37">
        <v>0</v>
      </c>
      <c r="R25" s="10">
        <f t="shared" ref="R25" si="50">0*12*R35</f>
        <v>0</v>
      </c>
    </row>
    <row r="26" spans="1:18" s="1" customFormat="1" ht="57" customHeight="1">
      <c r="A26" s="58" t="s">
        <v>30</v>
      </c>
      <c r="B26" s="58"/>
      <c r="C26" s="58"/>
      <c r="D26" s="58"/>
      <c r="E26" s="58"/>
      <c r="F26" s="58"/>
      <c r="G26" s="26" t="s">
        <v>9</v>
      </c>
      <c r="H26" s="24">
        <f>0.03+0.01</f>
        <v>0.04</v>
      </c>
      <c r="I26" s="10">
        <f>0.04*12*I35</f>
        <v>276.33600000000001</v>
      </c>
      <c r="J26" s="10">
        <f t="shared" ref="J26:L26" si="51">0.04*12*J35</f>
        <v>210.09599999999998</v>
      </c>
      <c r="K26" s="10">
        <f t="shared" si="51"/>
        <v>233.66399999999999</v>
      </c>
      <c r="L26" s="10">
        <f t="shared" si="51"/>
        <v>282.28800000000001</v>
      </c>
      <c r="M26" s="10">
        <f>0.04*12*M35</f>
        <v>170.304</v>
      </c>
      <c r="N26" s="10">
        <f t="shared" ref="N26" si="52">0.04*12*N35</f>
        <v>263.47199999999998</v>
      </c>
      <c r="O26" s="37">
        <f>0.03+0.01</f>
        <v>0.04</v>
      </c>
      <c r="P26" s="10">
        <f t="shared" ref="P26" si="53">0.04*12*P35</f>
        <v>603.12</v>
      </c>
      <c r="Q26" s="37">
        <v>0.04</v>
      </c>
      <c r="R26" s="10">
        <f t="shared" ref="R26" si="54">0.04*12*R35</f>
        <v>247.92</v>
      </c>
    </row>
    <row r="27" spans="1:18" s="1" customFormat="1" ht="85.5" customHeight="1">
      <c r="A27" s="58" t="s">
        <v>46</v>
      </c>
      <c r="B27" s="58"/>
      <c r="C27" s="58"/>
      <c r="D27" s="58"/>
      <c r="E27" s="58"/>
      <c r="F27" s="58"/>
      <c r="G27" s="24" t="s">
        <v>8</v>
      </c>
      <c r="H27" s="24">
        <f>0.32+0.18+0.38</f>
        <v>0.88</v>
      </c>
      <c r="I27" s="10">
        <f>0.88*12*I35</f>
        <v>6079.3920000000007</v>
      </c>
      <c r="J27" s="10">
        <f t="shared" ref="J27:L27" si="55">0.88*12*J35</f>
        <v>4622.1120000000001</v>
      </c>
      <c r="K27" s="10">
        <f t="shared" si="55"/>
        <v>5140.6080000000002</v>
      </c>
      <c r="L27" s="10">
        <f t="shared" si="55"/>
        <v>6210.3360000000002</v>
      </c>
      <c r="M27" s="10">
        <f>0.88*12*M35</f>
        <v>3746.6880000000001</v>
      </c>
      <c r="N27" s="10">
        <f t="shared" ref="N27" si="56">0.88*12*N35</f>
        <v>5796.384</v>
      </c>
      <c r="O27" s="37">
        <f>0.32+0.18+0.38</f>
        <v>0.88</v>
      </c>
      <c r="P27" s="10">
        <f t="shared" ref="P27" si="57">0.88*12*P35</f>
        <v>13268.640000000001</v>
      </c>
      <c r="Q27" s="37">
        <v>3.7</v>
      </c>
      <c r="R27" s="10">
        <f t="shared" ref="R27" si="58">3.7*12*R35</f>
        <v>22932.600000000002</v>
      </c>
    </row>
    <row r="28" spans="1:18" s="1" customFormat="1">
      <c r="A28" s="65" t="s">
        <v>7</v>
      </c>
      <c r="B28" s="66"/>
      <c r="C28" s="66"/>
      <c r="D28" s="66"/>
      <c r="E28" s="66"/>
      <c r="F28" s="67"/>
      <c r="G28" s="25"/>
      <c r="H28" s="25">
        <f t="shared" ref="H28:L28" si="59">SUM(H29:H33)</f>
        <v>11.659999999999997</v>
      </c>
      <c r="I28" s="11">
        <f t="shared" si="59"/>
        <v>80551.944000000018</v>
      </c>
      <c r="J28" s="11">
        <f t="shared" si="59"/>
        <v>61242.983999999997</v>
      </c>
      <c r="K28" s="11">
        <f t="shared" si="59"/>
        <v>68113.055999999997</v>
      </c>
      <c r="L28" s="11">
        <f t="shared" si="59"/>
        <v>82286.95199999999</v>
      </c>
      <c r="M28" s="11">
        <f t="shared" ref="M28:R28" si="60">SUM(M29:M33)</f>
        <v>49643.615999999995</v>
      </c>
      <c r="N28" s="11">
        <f t="shared" si="60"/>
        <v>76802.087999999989</v>
      </c>
      <c r="O28" s="38">
        <f t="shared" si="60"/>
        <v>6.28</v>
      </c>
      <c r="P28" s="11">
        <f t="shared" si="60"/>
        <v>94689.84</v>
      </c>
      <c r="Q28" s="38">
        <f t="shared" si="60"/>
        <v>5.6499999999999995</v>
      </c>
      <c r="R28" s="11">
        <f t="shared" si="60"/>
        <v>35018.700000000004</v>
      </c>
    </row>
    <row r="29" spans="1:18" s="1" customFormat="1" ht="176.25" customHeight="1">
      <c r="A29" s="58" t="s">
        <v>39</v>
      </c>
      <c r="B29" s="58"/>
      <c r="C29" s="58"/>
      <c r="D29" s="58"/>
      <c r="E29" s="58"/>
      <c r="F29" s="58"/>
      <c r="G29" s="26" t="s">
        <v>44</v>
      </c>
      <c r="H29" s="24">
        <f>0.49+0.35+2.46+2.46+0.81+0.1+0.13+0.14+0.1+0.03+0.02+0.04+0.01</f>
        <v>7.1399999999999988</v>
      </c>
      <c r="I29" s="10">
        <f>7.14*12*I35</f>
        <v>49325.976000000002</v>
      </c>
      <c r="J29" s="10">
        <f t="shared" ref="J29:L29" si="61">7.14*12*J35</f>
        <v>37502.135999999999</v>
      </c>
      <c r="K29" s="10">
        <f t="shared" si="61"/>
        <v>41709.023999999998</v>
      </c>
      <c r="L29" s="10">
        <f t="shared" si="61"/>
        <v>50388.407999999996</v>
      </c>
      <c r="M29" s="10">
        <f>7.14*12*M35</f>
        <v>30399.263999999999</v>
      </c>
      <c r="N29" s="10">
        <f t="shared" ref="N29" si="62">7.14*12*N35</f>
        <v>47029.751999999993</v>
      </c>
      <c r="O29" s="37">
        <f>0.49+0.35+0.74+0.74+0.41+0.1+0.13+0.14+0.1+0.03+0.02+0.04+0.01</f>
        <v>3.3000000000000003</v>
      </c>
      <c r="P29" s="10">
        <f>3.3*12*P35</f>
        <v>49757.399999999994</v>
      </c>
      <c r="Q29" s="37">
        <v>1.96</v>
      </c>
      <c r="R29" s="10">
        <f t="shared" ref="R29" si="63">1.96*12*R35</f>
        <v>12148.08</v>
      </c>
    </row>
    <row r="30" spans="1:18" s="1" customFormat="1" ht="84.75" customHeight="1">
      <c r="A30" s="54" t="s">
        <v>6</v>
      </c>
      <c r="B30" s="54"/>
      <c r="C30" s="54"/>
      <c r="D30" s="54"/>
      <c r="E30" s="54"/>
      <c r="F30" s="54"/>
      <c r="G30" s="26" t="s">
        <v>5</v>
      </c>
      <c r="H30" s="24">
        <v>1.4</v>
      </c>
      <c r="I30" s="10">
        <f>1.4*12*I35</f>
        <v>9671.7599999999984</v>
      </c>
      <c r="J30" s="10">
        <f t="shared" ref="J30:L30" si="64">1.4*12*J35</f>
        <v>7353.3599999999988</v>
      </c>
      <c r="K30" s="10">
        <f t="shared" si="64"/>
        <v>8178.2399999999989</v>
      </c>
      <c r="L30" s="10">
        <f t="shared" si="64"/>
        <v>9880.0799999999981</v>
      </c>
      <c r="M30" s="10">
        <f>1.4*12*M35</f>
        <v>5960.6399999999994</v>
      </c>
      <c r="N30" s="10">
        <f t="shared" ref="N30" si="65">1.4*12*N35</f>
        <v>9221.5199999999986</v>
      </c>
      <c r="O30" s="37">
        <v>1.4</v>
      </c>
      <c r="P30" s="10">
        <f t="shared" ref="P30" si="66">1.4*12*P35</f>
        <v>21109.199999999997</v>
      </c>
      <c r="Q30" s="37">
        <v>1.39</v>
      </c>
      <c r="R30" s="10">
        <f t="shared" ref="R30" si="67">1.39*12*R35</f>
        <v>8615.2199999999993</v>
      </c>
    </row>
    <row r="31" spans="1:18" s="1" customFormat="1" ht="32.25">
      <c r="A31" s="54" t="s">
        <v>37</v>
      </c>
      <c r="B31" s="54"/>
      <c r="C31" s="54"/>
      <c r="D31" s="54"/>
      <c r="E31" s="54"/>
      <c r="F31" s="54"/>
      <c r="G31" s="27" t="s">
        <v>45</v>
      </c>
      <c r="H31" s="24">
        <f>0.51+0.3+0.22+0.12+0.17+0.22</f>
        <v>1.5399999999999998</v>
      </c>
      <c r="I31" s="10">
        <f>1.54*12*I35</f>
        <v>10638.936000000002</v>
      </c>
      <c r="J31" s="10">
        <f t="shared" ref="J31:L31" si="68">1.54*12*J35</f>
        <v>8088.6959999999999</v>
      </c>
      <c r="K31" s="10">
        <f t="shared" si="68"/>
        <v>8996.0640000000003</v>
      </c>
      <c r="L31" s="10">
        <f t="shared" si="68"/>
        <v>10868.088000000002</v>
      </c>
      <c r="M31" s="10">
        <f>1.54*12*M35</f>
        <v>6556.7040000000006</v>
      </c>
      <c r="N31" s="10">
        <f t="shared" ref="N31" si="69">1.54*12*N35</f>
        <v>10143.672</v>
      </c>
      <c r="O31" s="37">
        <v>0</v>
      </c>
      <c r="P31" s="10">
        <f>0*12*P35</f>
        <v>0</v>
      </c>
      <c r="Q31" s="37">
        <f>0.76+0.3+0.22+0.12+0.17</f>
        <v>1.5699999999999998</v>
      </c>
      <c r="R31" s="10">
        <f t="shared" ref="R31" si="70">1.57*12*R35</f>
        <v>9730.86</v>
      </c>
    </row>
    <row r="32" spans="1:18" s="1" customFormat="1">
      <c r="A32" s="54" t="s">
        <v>49</v>
      </c>
      <c r="B32" s="54"/>
      <c r="C32" s="54"/>
      <c r="D32" s="54"/>
      <c r="E32" s="54"/>
      <c r="F32" s="54"/>
      <c r="G32" s="24" t="s">
        <v>4</v>
      </c>
      <c r="H32" s="24">
        <v>0.87</v>
      </c>
      <c r="I32" s="10">
        <f>0.87*12*I35</f>
        <v>6010.308</v>
      </c>
      <c r="J32" s="10">
        <f t="shared" ref="J32:L32" si="71">0.87*12*J35</f>
        <v>4569.5879999999997</v>
      </c>
      <c r="K32" s="10">
        <f t="shared" si="71"/>
        <v>5082.192</v>
      </c>
      <c r="L32" s="10">
        <f t="shared" si="71"/>
        <v>6139.7640000000001</v>
      </c>
      <c r="M32" s="10">
        <f>0.87*12*M35</f>
        <v>3704.1120000000001</v>
      </c>
      <c r="N32" s="10">
        <f t="shared" ref="N32" si="72">0.87*12*N35</f>
        <v>5730.5159999999996</v>
      </c>
      <c r="O32" s="37">
        <v>0.87</v>
      </c>
      <c r="P32" s="10">
        <f t="shared" ref="P32" si="73">0.87*12*P35</f>
        <v>13117.859999999999</v>
      </c>
      <c r="Q32" s="37">
        <v>0.52</v>
      </c>
      <c r="R32" s="10">
        <f t="shared" ref="R32" si="74">0.52*12*R35</f>
        <v>3222.96</v>
      </c>
    </row>
    <row r="33" spans="1:21" s="1" customFormat="1">
      <c r="A33" s="54" t="s">
        <v>50</v>
      </c>
      <c r="B33" s="54"/>
      <c r="C33" s="54"/>
      <c r="D33" s="54"/>
      <c r="E33" s="54"/>
      <c r="F33" s="54"/>
      <c r="G33" s="24" t="s">
        <v>8</v>
      </c>
      <c r="H33" s="24">
        <v>0.71</v>
      </c>
      <c r="I33" s="10">
        <f>0.71*12*I35</f>
        <v>4904.9639999999999</v>
      </c>
      <c r="J33" s="10">
        <f t="shared" ref="J33:L33" si="75">0.71*12*J35</f>
        <v>3729.2039999999997</v>
      </c>
      <c r="K33" s="10">
        <f t="shared" si="75"/>
        <v>4147.5360000000001</v>
      </c>
      <c r="L33" s="10">
        <f t="shared" si="75"/>
        <v>5010.6120000000001</v>
      </c>
      <c r="M33" s="10">
        <f>0.71*12*M35</f>
        <v>3022.8959999999997</v>
      </c>
      <c r="N33" s="10">
        <f t="shared" ref="N33" si="76">0.71*12*N35</f>
        <v>4676.6279999999997</v>
      </c>
      <c r="O33" s="37">
        <v>0.71</v>
      </c>
      <c r="P33" s="10">
        <f t="shared" ref="P33" si="77">0.71*12*P35</f>
        <v>10705.38</v>
      </c>
      <c r="Q33" s="37">
        <v>0.21</v>
      </c>
      <c r="R33" s="10">
        <f t="shared" ref="R33" si="78">0.21*12*R35</f>
        <v>1301.58</v>
      </c>
    </row>
    <row r="34" spans="1:21" s="1" customFormat="1">
      <c r="A34" s="51" t="s">
        <v>2</v>
      </c>
      <c r="B34" s="52"/>
      <c r="C34" s="52"/>
      <c r="D34" s="52"/>
      <c r="E34" s="52"/>
      <c r="F34" s="53"/>
      <c r="G34" s="28"/>
      <c r="H34" s="28"/>
      <c r="I34" s="13">
        <f>I14+I22+I28</f>
        <v>126078.30000000002</v>
      </c>
      <c r="J34" s="13">
        <f t="shared" ref="J34:L34" si="79">J14+J22+J28</f>
        <v>95856.3</v>
      </c>
      <c r="K34" s="13">
        <f t="shared" si="79"/>
        <v>106609.2</v>
      </c>
      <c r="L34" s="13">
        <f t="shared" si="79"/>
        <v>128793.9</v>
      </c>
      <c r="M34" s="13">
        <f>M14+M22+M28</f>
        <v>77701.2</v>
      </c>
      <c r="N34" s="13">
        <f t="shared" ref="N34" si="80">N14+N22+N28</f>
        <v>120209.09999999999</v>
      </c>
      <c r="O34" s="46"/>
      <c r="P34" s="13">
        <f t="shared" ref="P34" si="81">P14+P22+P28</f>
        <v>194053.86000000002</v>
      </c>
      <c r="Q34" s="39"/>
      <c r="R34" s="13">
        <f t="shared" ref="R34" si="82">R14+R22+R28</f>
        <v>111997.86000000002</v>
      </c>
      <c r="S34" s="17">
        <f>SUM(H34:R34)</f>
        <v>961299.72</v>
      </c>
      <c r="T34" s="1">
        <f>S34/12*0.05</f>
        <v>4005.4155000000001</v>
      </c>
    </row>
    <row r="35" spans="1:21" s="15" customFormat="1">
      <c r="A35" s="68" t="s">
        <v>1</v>
      </c>
      <c r="B35" s="68"/>
      <c r="C35" s="68"/>
      <c r="D35" s="68"/>
      <c r="E35" s="68"/>
      <c r="F35" s="68"/>
      <c r="G35" s="29"/>
      <c r="H35" s="42"/>
      <c r="I35" s="41" t="s">
        <v>67</v>
      </c>
      <c r="J35" s="41" t="s">
        <v>68</v>
      </c>
      <c r="K35" s="41" t="s">
        <v>69</v>
      </c>
      <c r="L35" s="41" t="s">
        <v>70</v>
      </c>
      <c r="M35" s="41" t="s">
        <v>71</v>
      </c>
      <c r="N35" s="41" t="s">
        <v>72</v>
      </c>
      <c r="O35" s="47"/>
      <c r="P35" s="19" t="s">
        <v>75</v>
      </c>
      <c r="Q35" s="49"/>
      <c r="R35" s="43" t="s">
        <v>77</v>
      </c>
      <c r="S35" s="1"/>
      <c r="T35" s="1"/>
      <c r="U35" s="1"/>
    </row>
    <row r="36" spans="1:21" s="2" customFormat="1" ht="25.5" customHeight="1">
      <c r="A36" s="62" t="s">
        <v>48</v>
      </c>
      <c r="B36" s="63"/>
      <c r="C36" s="63"/>
      <c r="D36" s="63"/>
      <c r="E36" s="63"/>
      <c r="F36" s="64"/>
      <c r="G36" s="30"/>
      <c r="H36" s="33">
        <f>H14+H22+H28</f>
        <v>18.249999999999996</v>
      </c>
      <c r="I36" s="14">
        <f>I34 /12/I35</f>
        <v>18.25</v>
      </c>
      <c r="J36" s="14">
        <f t="shared" ref="J36:L36" si="83">J34 /12/J35</f>
        <v>18.25</v>
      </c>
      <c r="K36" s="14">
        <f t="shared" si="83"/>
        <v>18.25</v>
      </c>
      <c r="L36" s="14">
        <f t="shared" si="83"/>
        <v>18.249999999999996</v>
      </c>
      <c r="M36" s="14">
        <f>M34 /12/M35</f>
        <v>18.249999999999996</v>
      </c>
      <c r="N36" s="14">
        <f t="shared" ref="N36" si="84">N34 /12/N35</f>
        <v>18.25</v>
      </c>
      <c r="O36" s="40">
        <f t="shared" ref="O36" si="85">O14+O22+O28</f>
        <v>12.870000000000001</v>
      </c>
      <c r="P36" s="14">
        <f t="shared" ref="P36" si="86">P34 /12/P35</f>
        <v>12.870000000000001</v>
      </c>
      <c r="Q36" s="50">
        <f t="shared" ref="Q36" si="87">Q14+Q22+Q28</f>
        <v>18.07</v>
      </c>
      <c r="R36" s="44">
        <f t="shared" ref="R36" si="88">R34/12/R35</f>
        <v>18.07</v>
      </c>
      <c r="S36" s="15"/>
      <c r="T36" s="15"/>
      <c r="U36" s="15"/>
    </row>
    <row r="37" spans="1:21" s="2" customFormat="1" ht="25.5" customHeight="1">
      <c r="A37" s="20"/>
      <c r="B37" s="20"/>
      <c r="C37" s="20"/>
      <c r="D37" s="20"/>
      <c r="E37" s="20"/>
      <c r="F37" s="20"/>
      <c r="G37" s="31"/>
      <c r="H37" s="21"/>
      <c r="I37" s="21"/>
      <c r="J37" s="21"/>
      <c r="K37" s="21"/>
      <c r="L37" s="21"/>
      <c r="M37" s="21"/>
      <c r="N37" s="21"/>
      <c r="O37" s="34"/>
      <c r="P37" s="21"/>
      <c r="Q37" s="21"/>
      <c r="R37" s="21"/>
      <c r="S37" s="15"/>
      <c r="T37" s="15"/>
      <c r="U37" s="15"/>
    </row>
    <row r="38" spans="1:21" s="2" customFormat="1" ht="15" customHeight="1">
      <c r="A38" s="20"/>
      <c r="B38" s="20"/>
      <c r="C38" s="20"/>
      <c r="D38" s="20"/>
      <c r="E38" s="20"/>
      <c r="F38" s="20"/>
      <c r="G38" s="31"/>
      <c r="H38" s="21"/>
      <c r="I38" s="21"/>
      <c r="J38" s="21"/>
      <c r="K38" s="21"/>
      <c r="L38" s="21"/>
      <c r="M38" s="21"/>
      <c r="N38" s="21"/>
      <c r="O38" s="34"/>
      <c r="P38" s="21"/>
      <c r="Q38" s="21"/>
      <c r="R38" s="21"/>
      <c r="S38" s="15"/>
      <c r="T38" s="15"/>
      <c r="U38" s="15"/>
    </row>
    <row r="39" spans="1:21" s="2" customFormat="1" ht="15.75" customHeight="1">
      <c r="A39" s="20"/>
      <c r="B39" s="20"/>
      <c r="C39" s="20"/>
      <c r="D39" s="20"/>
      <c r="E39" s="20"/>
      <c r="F39" s="20"/>
      <c r="G39" s="31"/>
      <c r="H39" s="21"/>
      <c r="I39" s="21"/>
      <c r="J39" s="21"/>
      <c r="K39" s="21"/>
      <c r="L39" s="21"/>
      <c r="M39" s="21"/>
      <c r="N39" s="21"/>
      <c r="O39" s="34"/>
      <c r="P39" s="21"/>
      <c r="Q39" s="21"/>
      <c r="R39" s="21"/>
      <c r="S39" s="15"/>
      <c r="T39" s="15"/>
      <c r="U39" s="15"/>
    </row>
    <row r="40" spans="1:21" s="2" customFormat="1" ht="25.5" customHeight="1">
      <c r="A40" s="20"/>
      <c r="B40" s="20"/>
      <c r="C40" s="20"/>
      <c r="D40" s="20"/>
      <c r="E40" s="20"/>
      <c r="F40" s="20"/>
      <c r="G40" s="31"/>
      <c r="H40" s="21"/>
      <c r="I40" s="21"/>
      <c r="J40" s="21"/>
      <c r="K40" s="21"/>
      <c r="L40" s="21"/>
      <c r="M40" s="21"/>
      <c r="N40" s="21"/>
      <c r="O40" s="34"/>
      <c r="P40" s="21"/>
      <c r="Q40" s="21"/>
      <c r="R40" s="21"/>
      <c r="S40" s="15"/>
      <c r="T40" s="15"/>
      <c r="U40" s="15"/>
    </row>
    <row r="41" spans="1:21" s="1" customFormat="1" ht="12.75" customHeight="1">
      <c r="A41" s="6"/>
      <c r="B41" s="6"/>
      <c r="C41" s="6"/>
      <c r="D41" s="6"/>
      <c r="E41" s="6"/>
      <c r="F41" s="6"/>
      <c r="G41" s="22"/>
      <c r="H41" s="7"/>
      <c r="I41" s="7"/>
      <c r="J41" s="7"/>
      <c r="K41" s="7"/>
      <c r="L41" s="7"/>
      <c r="M41" s="7"/>
      <c r="N41" s="7"/>
      <c r="O41" s="32"/>
      <c r="P41" s="7"/>
      <c r="Q41" s="7"/>
      <c r="R41" s="7"/>
    </row>
    <row r="42" spans="1:21" s="1" customFormat="1" ht="12.75" hidden="1" customHeight="1">
      <c r="A42" s="6"/>
      <c r="B42" s="6"/>
      <c r="C42" s="6"/>
      <c r="D42" s="6"/>
      <c r="E42" s="6"/>
      <c r="F42" s="6"/>
      <c r="G42" s="22"/>
      <c r="H42" s="7"/>
      <c r="I42" s="7"/>
      <c r="J42" s="7"/>
      <c r="K42" s="7"/>
      <c r="L42" s="7"/>
      <c r="M42" s="7"/>
      <c r="N42" s="7"/>
      <c r="O42" s="32"/>
      <c r="P42" s="7"/>
      <c r="Q42" s="7"/>
      <c r="R42" s="7"/>
    </row>
    <row r="43" spans="1:21" s="1" customFormat="1">
      <c r="A43" s="6"/>
      <c r="B43" s="6"/>
      <c r="C43" s="6"/>
      <c r="D43" s="6"/>
      <c r="E43" s="6"/>
      <c r="F43" s="6"/>
      <c r="G43" s="22"/>
      <c r="H43" s="7"/>
      <c r="I43" s="7"/>
      <c r="J43" s="7"/>
      <c r="K43" s="7"/>
      <c r="L43" s="7"/>
      <c r="M43" s="7"/>
      <c r="N43" s="7"/>
      <c r="O43" s="32"/>
      <c r="P43" s="7"/>
      <c r="Q43" s="7"/>
      <c r="R43" s="7"/>
    </row>
    <row r="44" spans="1:21" s="1" customFormat="1">
      <c r="A44" s="6"/>
      <c r="B44" s="6"/>
      <c r="C44" s="6"/>
      <c r="D44" s="6"/>
      <c r="E44" s="6"/>
      <c r="F44" s="6"/>
      <c r="G44" s="22"/>
      <c r="H44" s="7"/>
      <c r="I44" s="7"/>
      <c r="J44" s="7"/>
      <c r="K44" s="7"/>
      <c r="L44" s="7"/>
      <c r="M44" s="7"/>
      <c r="N44" s="7"/>
      <c r="O44" s="32"/>
      <c r="P44" s="7"/>
      <c r="Q44" s="7"/>
      <c r="R44" s="7"/>
    </row>
    <row r="45" spans="1:21" s="1" customFormat="1">
      <c r="A45" s="6" t="s">
        <v>0</v>
      </c>
      <c r="B45" s="6">
        <v>12</v>
      </c>
      <c r="C45" s="6"/>
      <c r="D45" s="6"/>
      <c r="E45" s="6"/>
      <c r="F45" s="6"/>
      <c r="G45" s="22"/>
      <c r="H45" s="7"/>
      <c r="I45" s="7"/>
      <c r="J45" s="7"/>
      <c r="K45" s="7"/>
      <c r="L45" s="7"/>
      <c r="M45" s="7"/>
      <c r="N45" s="7"/>
      <c r="O45" s="32"/>
      <c r="P45" s="7"/>
      <c r="Q45" s="7"/>
      <c r="R45" s="7"/>
    </row>
    <row r="46" spans="1:21" s="1" customFormat="1">
      <c r="A46" s="6"/>
      <c r="B46" s="6"/>
      <c r="C46" s="6"/>
      <c r="D46" s="6"/>
      <c r="E46" s="6"/>
      <c r="F46" s="6"/>
      <c r="G46" s="22"/>
      <c r="H46" s="7"/>
      <c r="I46" s="7"/>
      <c r="J46" s="7"/>
      <c r="K46" s="7"/>
      <c r="L46" s="7"/>
      <c r="M46" s="7"/>
      <c r="N46" s="7"/>
      <c r="O46" s="32"/>
      <c r="P46" s="7"/>
      <c r="Q46" s="7"/>
      <c r="R46" s="7"/>
    </row>
  </sheetData>
  <mergeCells count="38">
    <mergeCell ref="O7:O8"/>
    <mergeCell ref="G6:N6"/>
    <mergeCell ref="Q7:Q8"/>
    <mergeCell ref="H7:H8"/>
    <mergeCell ref="A1:G1"/>
    <mergeCell ref="A2:G2"/>
    <mergeCell ref="A3:G3"/>
    <mergeCell ref="A4:G4"/>
    <mergeCell ref="A6:F8"/>
    <mergeCell ref="G7:G8"/>
    <mergeCell ref="A9:F9"/>
    <mergeCell ref="A36:F36"/>
    <mergeCell ref="A28:F28"/>
    <mergeCell ref="A29:F29"/>
    <mergeCell ref="A30:F30"/>
    <mergeCell ref="A33:F33"/>
    <mergeCell ref="A31:F31"/>
    <mergeCell ref="A32:F32"/>
    <mergeCell ref="A35:F35"/>
    <mergeCell ref="A27:F27"/>
    <mergeCell ref="A24:F24"/>
    <mergeCell ref="A16:F16"/>
    <mergeCell ref="A17:F17"/>
    <mergeCell ref="A18:F18"/>
    <mergeCell ref="A19:F19"/>
    <mergeCell ref="A20:F20"/>
    <mergeCell ref="A34:F34"/>
    <mergeCell ref="A15:F15"/>
    <mergeCell ref="A10:F10"/>
    <mergeCell ref="A11:F11"/>
    <mergeCell ref="A12:F12"/>
    <mergeCell ref="A13:F13"/>
    <mergeCell ref="A14:F14"/>
    <mergeCell ref="A21:F21"/>
    <mergeCell ref="A22:F22"/>
    <mergeCell ref="A23:F23"/>
    <mergeCell ref="A25:F25"/>
    <mergeCell ref="A26:F26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лот2</vt:lpstr>
      <vt:lpstr>Лист1</vt:lpstr>
      <vt:lpstr>лот2!Заголовки_для_печати</vt:lpstr>
      <vt:lpstr>лот2!Область_печати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2016-10-03T08:03:42Z</cp:lastPrinted>
  <dcterms:created xsi:type="dcterms:W3CDTF">2013-04-24T10:34:01Z</dcterms:created>
  <dcterms:modified xsi:type="dcterms:W3CDTF">2016-10-14T09:18:02Z</dcterms:modified>
</cp:coreProperties>
</file>